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6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8" i="1"/>
  <c r="L18"/>
  <c r="K17"/>
  <c r="L17" s="1"/>
  <c r="K16"/>
  <c r="L16" s="1"/>
  <c r="K15"/>
  <c r="L15" s="1"/>
  <c r="K14"/>
  <c r="L14"/>
  <c r="K13"/>
  <c r="L13"/>
  <c r="K12"/>
  <c r="L12"/>
  <c r="K11"/>
  <c r="L11" s="1"/>
  <c r="K10"/>
  <c r="L10"/>
  <c r="K9"/>
  <c r="L9"/>
  <c r="K6"/>
  <c r="L6"/>
  <c r="K5"/>
  <c r="L5" s="1"/>
  <c r="G18"/>
  <c r="H18"/>
  <c r="G17"/>
  <c r="H17"/>
  <c r="G16"/>
  <c r="H16"/>
  <c r="G15"/>
  <c r="H15" s="1"/>
  <c r="G14"/>
  <c r="H14"/>
  <c r="G13"/>
  <c r="H13"/>
  <c r="G12"/>
  <c r="H12"/>
  <c r="G11"/>
  <c r="H11" s="1"/>
  <c r="G10"/>
  <c r="H10"/>
  <c r="G9"/>
  <c r="H9"/>
  <c r="G5"/>
  <c r="H5"/>
  <c r="E18"/>
  <c r="F18" s="1"/>
  <c r="E17"/>
  <c r="F17"/>
  <c r="E16"/>
  <c r="F16"/>
  <c r="E15"/>
  <c r="F15"/>
  <c r="E14"/>
  <c r="F14" s="1"/>
  <c r="E13"/>
  <c r="F13"/>
  <c r="E12"/>
  <c r="F12"/>
  <c r="E11"/>
  <c r="F11"/>
  <c r="E10"/>
  <c r="F10" s="1"/>
  <c r="E9"/>
  <c r="F9"/>
  <c r="E5"/>
  <c r="F5"/>
  <c r="I6"/>
  <c r="J6"/>
  <c r="C18"/>
  <c r="D18" s="1"/>
  <c r="K7"/>
  <c r="L7"/>
  <c r="C5"/>
  <c r="D5"/>
  <c r="I5"/>
  <c r="J5"/>
  <c r="C6"/>
  <c r="D6" s="1"/>
  <c r="E6"/>
  <c r="F6"/>
  <c r="G6"/>
  <c r="H6"/>
  <c r="C7"/>
  <c r="D7"/>
  <c r="E7"/>
  <c r="F7" s="1"/>
  <c r="G7"/>
  <c r="H7"/>
  <c r="I7"/>
  <c r="J7"/>
  <c r="C9"/>
  <c r="D9"/>
  <c r="I9"/>
  <c r="J9" s="1"/>
  <c r="C10"/>
  <c r="D10"/>
  <c r="I10"/>
  <c r="J10"/>
  <c r="C11"/>
  <c r="D11"/>
  <c r="I11"/>
  <c r="J11" s="1"/>
  <c r="C12"/>
  <c r="D12"/>
  <c r="I12"/>
  <c r="J12"/>
  <c r="C13"/>
  <c r="D13"/>
  <c r="I13"/>
  <c r="J13" s="1"/>
  <c r="C14"/>
  <c r="D14"/>
  <c r="I14"/>
  <c r="J14"/>
  <c r="C15"/>
  <c r="D15"/>
  <c r="I15"/>
  <c r="J15" s="1"/>
  <c r="C16"/>
  <c r="D16"/>
  <c r="I16"/>
  <c r="J16"/>
  <c r="C17"/>
  <c r="D17"/>
  <c r="I17"/>
  <c r="J17" s="1"/>
  <c r="I18"/>
  <c r="J18"/>
</calcChain>
</file>

<file path=xl/sharedStrings.xml><?xml version="1.0" encoding="utf-8"?>
<sst xmlns="http://schemas.openxmlformats.org/spreadsheetml/2006/main" count="56" uniqueCount="48">
  <si>
    <t>MMSE</t>
  </si>
  <si>
    <t>Age</t>
  </si>
  <si>
    <t>Education</t>
  </si>
  <si>
    <t>Sex (M=1; F=2)</t>
  </si>
  <si>
    <t>Trails A</t>
  </si>
  <si>
    <t>Trails B</t>
  </si>
  <si>
    <t>Percentile</t>
  </si>
  <si>
    <t>Enter Raw Score</t>
  </si>
  <si>
    <t>Sex Only</t>
  </si>
  <si>
    <t>Age Only</t>
  </si>
  <si>
    <t>Education Only</t>
  </si>
  <si>
    <t>Sex, Age, &amp; Education</t>
  </si>
  <si>
    <t xml:space="preserve">Created by Steven Shirk, Ph.D.; No guarantee or liability implied. </t>
  </si>
  <si>
    <t>Based on Weintraub et al. (2009).  The Alzheimer's Disease Centers' Uniform Data Set (UDS) The Neuropsychologic Test Battery.</t>
  </si>
  <si>
    <t>No Adjustment</t>
  </si>
  <si>
    <t>Low Average</t>
  </si>
  <si>
    <t>Average</t>
  </si>
  <si>
    <t>High Average</t>
  </si>
  <si>
    <t>Superior</t>
  </si>
  <si>
    <t>Very Superior</t>
  </si>
  <si>
    <t>Mildly Impaired</t>
  </si>
  <si>
    <t>2%-8.99%</t>
  </si>
  <si>
    <t>9%-24.99%</t>
  </si>
  <si>
    <t>25%-74.99%</t>
  </si>
  <si>
    <t>75%-90.99%</t>
  </si>
  <si>
    <t>91%-97.99%</t>
  </si>
  <si>
    <t>Descriptor:</t>
  </si>
  <si>
    <t>Percentile Range:</t>
  </si>
  <si>
    <t>KEY</t>
  </si>
  <si>
    <t>98%&lt;</t>
  </si>
  <si>
    <t>Category Fluency: Animals</t>
  </si>
  <si>
    <t>Category Fluency: Vegetables</t>
  </si>
  <si>
    <t>Length of Delay (25-35 min)</t>
  </si>
  <si>
    <t>Digit Span Forward</t>
  </si>
  <si>
    <t>Digit Span Forward: Length</t>
  </si>
  <si>
    <t>Digit Span Backward</t>
  </si>
  <si>
    <t>Digit Span Backward: Length</t>
  </si>
  <si>
    <t>Logical Memory A: Delayed</t>
  </si>
  <si>
    <t>Logical Memory A: Immediate</t>
  </si>
  <si>
    <t>Boston Naming Test (30 odd)</t>
  </si>
  <si>
    <t>WAIS-Digit Symbol</t>
  </si>
  <si>
    <t>Moderately Impaired</t>
  </si>
  <si>
    <t>Severly Impaired</t>
  </si>
  <si>
    <t>&lt;1%</t>
  </si>
  <si>
    <t>1%-1.99%</t>
  </si>
  <si>
    <r>
      <t xml:space="preserve">Supplement of Shirk et al. (2011) A Web-based Normative Calculator for the Uniform Data Set (UDS) Neuropsychological Test Battery. </t>
    </r>
    <r>
      <rPr>
        <i/>
        <sz val="14"/>
        <color theme="1"/>
        <rFont val="Calibri"/>
        <family val="2"/>
        <scheme val="minor"/>
      </rPr>
      <t>Alzheimer's Research &amp; Therapy</t>
    </r>
    <r>
      <rPr>
        <sz val="14"/>
        <color theme="1"/>
        <rFont val="Calibri"/>
        <family val="2"/>
        <scheme val="minor"/>
      </rPr>
      <t>.</t>
    </r>
  </si>
  <si>
    <r>
      <rPr>
        <i/>
        <sz val="14"/>
        <color indexed="8"/>
        <rFont val="Calibri"/>
        <family val="2"/>
      </rPr>
      <t>Alzheimer Disease and Associated Disorders, 23</t>
    </r>
    <r>
      <rPr>
        <sz val="14"/>
        <color theme="1"/>
        <rFont val="Calibri"/>
        <family val="2"/>
        <scheme val="minor"/>
      </rPr>
      <t>(2), 91-101</t>
    </r>
  </si>
  <si>
    <r>
      <rPr>
        <b/>
        <i/>
        <sz val="14"/>
        <color indexed="56"/>
        <rFont val="Calibri"/>
        <family val="2"/>
      </rPr>
      <t>Z</t>
    </r>
    <r>
      <rPr>
        <b/>
        <sz val="14"/>
        <color indexed="56"/>
        <rFont val="Calibri"/>
        <family val="2"/>
      </rPr>
      <t xml:space="preserve"> Score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</si>
</sst>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indexed="53"/>
      <name val="Calibri"/>
      <family val="2"/>
    </font>
    <font>
      <b/>
      <sz val="12"/>
      <color indexed="6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56"/>
      <name val="Calibri"/>
      <family val="2"/>
      <scheme val="minor"/>
    </font>
    <font>
      <b/>
      <i/>
      <sz val="14"/>
      <color indexed="56"/>
      <name val="Calibri"/>
      <family val="2"/>
    </font>
    <font>
      <b/>
      <sz val="14"/>
      <color indexed="5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lightTrellis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CC99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22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22"/>
      </bottom>
      <diagonal/>
    </border>
    <border>
      <left/>
      <right style="thick">
        <color indexed="64"/>
      </right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8" fillId="3" borderId="20" applyNumberFormat="0" applyAlignment="0" applyProtection="0"/>
    <xf numFmtId="0" fontId="9" fillId="0" borderId="21" applyNumberFormat="0" applyFill="0" applyAlignment="0" applyProtection="0"/>
    <xf numFmtId="0" fontId="10" fillId="14" borderId="20" applyNumberFormat="0" applyAlignment="0" applyProtection="0"/>
  </cellStyleXfs>
  <cellXfs count="51">
    <xf numFmtId="0" fontId="0" fillId="0" borderId="0" xfId="0"/>
    <xf numFmtId="0" fontId="9" fillId="0" borderId="1" xfId="4" applyBorder="1" applyAlignment="1">
      <alignment horizontal="center"/>
    </xf>
    <xf numFmtId="0" fontId="0" fillId="0" borderId="2" xfId="0" applyBorder="1"/>
    <xf numFmtId="2" fontId="1" fillId="4" borderId="4" xfId="0" applyNumberFormat="1" applyFont="1" applyFill="1" applyBorder="1" applyAlignment="1" applyProtection="1">
      <alignment horizontal="center"/>
    </xf>
    <xf numFmtId="0" fontId="2" fillId="14" borderId="5" xfId="5" applyFont="1" applyBorder="1" applyAlignment="1" applyProtection="1">
      <alignment horizontal="center"/>
      <protection locked="0"/>
    </xf>
    <xf numFmtId="0" fontId="2" fillId="14" borderId="4" xfId="5" applyFont="1" applyBorder="1" applyAlignment="1" applyProtection="1">
      <alignment horizontal="center"/>
      <protection locked="0"/>
    </xf>
    <xf numFmtId="0" fontId="2" fillId="14" borderId="6" xfId="5" applyFont="1" applyBorder="1" applyAlignment="1" applyProtection="1">
      <alignment horizontal="center"/>
      <protection locked="0"/>
    </xf>
    <xf numFmtId="0" fontId="2" fillId="14" borderId="7" xfId="5" applyFont="1" applyBorder="1" applyAlignment="1" applyProtection="1">
      <alignment horizontal="center"/>
      <protection locked="0"/>
    </xf>
    <xf numFmtId="0" fontId="2" fillId="14" borderId="8" xfId="5" applyFont="1" applyBorder="1" applyAlignment="1" applyProtection="1">
      <alignment horizontal="center"/>
      <protection locked="0"/>
    </xf>
    <xf numFmtId="2" fontId="3" fillId="3" borderId="7" xfId="3" applyNumberFormat="1" applyFont="1" applyBorder="1" applyAlignment="1" applyProtection="1">
      <alignment horizontal="center"/>
    </xf>
    <xf numFmtId="0" fontId="0" fillId="0" borderId="0" xfId="0" applyFont="1"/>
    <xf numFmtId="2" fontId="5" fillId="4" borderId="4" xfId="0" applyNumberFormat="1" applyFont="1" applyFill="1" applyBorder="1" applyAlignment="1" applyProtection="1">
      <alignment horizontal="center"/>
    </xf>
    <xf numFmtId="2" fontId="3" fillId="3" borderId="8" xfId="3" applyNumberFormat="1" applyFont="1" applyBorder="1" applyAlignment="1" applyProtection="1">
      <alignment horizontal="center"/>
    </xf>
    <xf numFmtId="164" fontId="3" fillId="3" borderId="13" xfId="3" applyNumberFormat="1" applyFont="1" applyBorder="1" applyAlignment="1">
      <alignment horizontal="center"/>
    </xf>
    <xf numFmtId="164" fontId="3" fillId="3" borderId="14" xfId="3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3" fillId="3" borderId="7" xfId="3" applyNumberFormat="1" applyFont="1" applyBorder="1" applyAlignment="1" applyProtection="1">
      <alignment horizontal="center"/>
    </xf>
    <xf numFmtId="164" fontId="3" fillId="3" borderId="4" xfId="3" applyNumberFormat="1" applyFont="1" applyBorder="1" applyAlignment="1" applyProtection="1">
      <alignment horizontal="center"/>
    </xf>
    <xf numFmtId="164" fontId="5" fillId="4" borderId="4" xfId="0" applyNumberFormat="1" applyFont="1" applyFill="1" applyBorder="1" applyAlignment="1" applyProtection="1">
      <alignment horizontal="center"/>
    </xf>
    <xf numFmtId="164" fontId="3" fillId="3" borderId="8" xfId="3" applyNumberFormat="1" applyFont="1" applyBorder="1" applyAlignment="1" applyProtection="1">
      <alignment horizontal="center"/>
    </xf>
    <xf numFmtId="164" fontId="3" fillId="3" borderId="16" xfId="3" applyNumberFormat="1" applyFont="1" applyBorder="1" applyAlignment="1">
      <alignment horizontal="center"/>
    </xf>
    <xf numFmtId="164" fontId="5" fillId="4" borderId="17" xfId="0" applyNumberFormat="1" applyFont="1" applyFill="1" applyBorder="1" applyAlignment="1" applyProtection="1">
      <alignment horizontal="center"/>
    </xf>
    <xf numFmtId="0" fontId="11" fillId="0" borderId="0" xfId="0" applyFont="1"/>
    <xf numFmtId="0" fontId="14" fillId="0" borderId="0" xfId="0" applyFont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4" fillId="12" borderId="15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12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13" borderId="9" xfId="2" applyFont="1" applyBorder="1"/>
    <xf numFmtId="0" fontId="14" fillId="13" borderId="10" xfId="2" applyFont="1" applyBorder="1"/>
    <xf numFmtId="0" fontId="14" fillId="13" borderId="11" xfId="2" applyFont="1" applyBorder="1"/>
    <xf numFmtId="0" fontId="14" fillId="2" borderId="10" xfId="1" applyFont="1" applyBorder="1"/>
    <xf numFmtId="0" fontId="14" fillId="2" borderId="10" xfId="1" applyFont="1" applyBorder="1" applyAlignment="1">
      <alignment horizontal="right"/>
    </xf>
    <xf numFmtId="0" fontId="14" fillId="2" borderId="10" xfId="1" applyFont="1" applyBorder="1" applyAlignment="1">
      <alignment horizontal="left"/>
    </xf>
    <xf numFmtId="0" fontId="14" fillId="2" borderId="12" xfId="1" applyFont="1" applyBorder="1"/>
    <xf numFmtId="0" fontId="15" fillId="0" borderId="3" xfId="4" applyFont="1" applyBorder="1" applyAlignment="1" applyProtection="1">
      <alignment horizontal="center"/>
    </xf>
    <xf numFmtId="0" fontId="15" fillId="0" borderId="18" xfId="4" applyFont="1" applyBorder="1" applyAlignment="1" applyProtection="1">
      <alignment horizontal="center"/>
    </xf>
    <xf numFmtId="0" fontId="15" fillId="0" borderId="19" xfId="4" applyFont="1" applyBorder="1" applyAlignment="1" applyProtection="1">
      <alignment horizontal="center"/>
    </xf>
  </cellXfs>
  <cellStyles count="6">
    <cellStyle name="40% - Accent1" xfId="1" builtinId="31"/>
    <cellStyle name="40% - Accent2" xfId="2" builtinId="35"/>
    <cellStyle name="Calculation" xfId="3" builtinId="22"/>
    <cellStyle name="Heading 2" xfId="4" builtinId="17"/>
    <cellStyle name="Input" xfId="5" builtinId="20"/>
    <cellStyle name="Normal" xfId="0" builtinId="0"/>
  </cellStyles>
  <dxfs count="21"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9AD5D"/>
        </patternFill>
      </fill>
    </dxf>
    <dxf>
      <font>
        <color auto="1"/>
      </font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9AD5D"/>
        </patternFill>
      </fill>
    </dxf>
    <dxf>
      <font>
        <color auto="1"/>
      </font>
      <fill>
        <patternFill>
          <bgColor rgb="FFCC33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9AD5D"/>
        </patternFill>
      </fill>
    </dxf>
    <dxf>
      <font>
        <color auto="1"/>
      </font>
      <fill>
        <patternFill>
          <bgColor rgb="FFCC33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Memory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823179232638432E-2"/>
          <c:y val="0.11074936181380066"/>
          <c:w val="0.88690026858083115"/>
          <c:h val="0.70684151510572879"/>
        </c:manualLayout>
      </c:layout>
      <c:barChart>
        <c:barDir val="col"/>
        <c:grouping val="clustered"/>
        <c:ser>
          <c:idx val="0"/>
          <c:order val="0"/>
          <c:tx>
            <c:v>Immediate</c:v>
          </c:tx>
          <c:spPr>
            <a:solidFill>
              <a:srgbClr val="AA4643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(Sheet1!$D$6,Sheet1!$F$6,Sheet1!$H$6,Sheet1!$J$6,Sheet1!$L$6)</c:f>
              <c:numCache>
                <c:formatCode>0.00</c:formatCode>
                <c:ptCount val="5"/>
                <c:pt idx="0">
                  <c:v>10.711089145338693</c:v>
                </c:pt>
                <c:pt idx="1">
                  <c:v>5.3293079646556718</c:v>
                </c:pt>
                <c:pt idx="2">
                  <c:v>4.4045966107266965</c:v>
                </c:pt>
                <c:pt idx="3">
                  <c:v>15.088055354212448</c:v>
                </c:pt>
                <c:pt idx="4">
                  <c:v>3.8427685675959555</c:v>
                </c:pt>
              </c:numCache>
            </c:numRef>
          </c:val>
        </c:ser>
        <c:ser>
          <c:idx val="1"/>
          <c:order val="1"/>
          <c:tx>
            <c:v>Delayed</c:v>
          </c:tx>
          <c:spPr>
            <a:solidFill>
              <a:srgbClr val="D19392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(Sheet1!$D$7,Sheet1!$F$7,Sheet1!$H$7,Sheet1!$J$7,Sheet1!$L$7)</c:f>
              <c:numCache>
                <c:formatCode>0.00</c:formatCode>
                <c:ptCount val="5"/>
                <c:pt idx="0">
                  <c:v>17.839285657549063</c:v>
                </c:pt>
                <c:pt idx="1">
                  <c:v>10.367464604030019</c:v>
                </c:pt>
                <c:pt idx="2">
                  <c:v>8.2556313652306539</c:v>
                </c:pt>
                <c:pt idx="3">
                  <c:v>11.705089914183908</c:v>
                </c:pt>
                <c:pt idx="4">
                  <c:v>6.2406196465908952</c:v>
                </c:pt>
              </c:numCache>
            </c:numRef>
          </c:val>
        </c:ser>
        <c:axId val="68060288"/>
        <c:axId val="68062592"/>
      </c:barChart>
      <c:catAx>
        <c:axId val="6806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062592"/>
        <c:crosses val="autoZero"/>
        <c:auto val="1"/>
        <c:lblAlgn val="ctr"/>
        <c:lblOffset val="100"/>
      </c:catAx>
      <c:valAx>
        <c:axId val="68062592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06028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59321728839145"/>
          <c:y val="0.36890627474125187"/>
          <c:w val="5.9149124613000099E-2"/>
          <c:h val="0.35287418368864826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 sz="1600" b="1"/>
              <a:t>Attention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823179232638432E-2"/>
          <c:y val="0.11038947913690048"/>
          <c:w val="0.84466692245793451"/>
          <c:h val="0.70779136623071581"/>
        </c:manualLayout>
      </c:layout>
      <c:barChart>
        <c:barDir val="col"/>
        <c:grouping val="clustered"/>
        <c:ser>
          <c:idx val="0"/>
          <c:order val="0"/>
          <c:tx>
            <c:v>DIGIT FORWARD</c:v>
          </c:tx>
          <c:spPr>
            <a:solidFill>
              <a:srgbClr val="3C6494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(Sheet1!$D$9,Sheet1!$F$9,Sheet1!$H$9,Sheet1!$J$9,Sheet1!$L$9)</c:f>
              <c:numCache>
                <c:formatCode>0.00</c:formatCode>
                <c:ptCount val="5"/>
                <c:pt idx="0">
                  <c:v>16.356402386598901</c:v>
                </c:pt>
                <c:pt idx="1">
                  <c:v>9.1223122811898492</c:v>
                </c:pt>
                <c:pt idx="2">
                  <c:v>11.656790153972684</c:v>
                </c:pt>
                <c:pt idx="3">
                  <c:v>15.765045275386191</c:v>
                </c:pt>
                <c:pt idx="4">
                  <c:v>10.784037468050755</c:v>
                </c:pt>
              </c:numCache>
            </c:numRef>
          </c:val>
        </c:ser>
        <c:ser>
          <c:idx val="1"/>
          <c:order val="1"/>
          <c:tx>
            <c:v>DIGIT FORWARD-MAX</c:v>
          </c:tx>
          <c:spPr>
            <a:solidFill>
              <a:srgbClr val="4978B1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(Sheet1!$D$10,Sheet1!$F$10,Sheet1!$H$10,Sheet1!$J$10,Sheet1!$L$10)</c:f>
              <c:numCache>
                <c:formatCode>0.00</c:formatCode>
                <c:ptCount val="5"/>
                <c:pt idx="0">
                  <c:v>8.9974479233478899</c:v>
                </c:pt>
                <c:pt idx="1">
                  <c:v>5.0293718788560371</c:v>
                </c:pt>
                <c:pt idx="2">
                  <c:v>6.4513151818353265</c:v>
                </c:pt>
                <c:pt idx="3">
                  <c:v>8.9004645553117712</c:v>
                </c:pt>
                <c:pt idx="4">
                  <c:v>6.111817772400574</c:v>
                </c:pt>
              </c:numCache>
            </c:numRef>
          </c:val>
        </c:ser>
        <c:ser>
          <c:idx val="2"/>
          <c:order val="2"/>
          <c:tx>
            <c:v>DIGIT BACKWARD</c:v>
          </c:tx>
          <c:spPr>
            <a:solidFill>
              <a:srgbClr val="7E9BC8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(Sheet1!$D$11,Sheet1!$F$11,Sheet1!$H$11,Sheet1!$J$11,Sheet1!$L$11)</c:f>
              <c:numCache>
                <c:formatCode>0.00</c:formatCode>
                <c:ptCount val="5"/>
                <c:pt idx="0">
                  <c:v>18.147413424261337</c:v>
                </c:pt>
                <c:pt idx="1">
                  <c:v>9.53968758788365</c:v>
                </c:pt>
                <c:pt idx="2">
                  <c:v>10.519530147137267</c:v>
                </c:pt>
                <c:pt idx="3">
                  <c:v>14.822568571604677</c:v>
                </c:pt>
                <c:pt idx="4">
                  <c:v>9.3721395237845506</c:v>
                </c:pt>
              </c:numCache>
            </c:numRef>
          </c:val>
        </c:ser>
        <c:ser>
          <c:idx val="3"/>
          <c:order val="3"/>
          <c:tx>
            <c:v>DIGIT BACKWARD-MAX</c:v>
          </c:tx>
          <c:spPr>
            <a:solidFill>
              <a:srgbClr val="B6C3DC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(Sheet1!$D$12,Sheet1!$F$12,Sheet1!$H$12,Sheet1!$J$12,Sheet1!$L$12)</c:f>
              <c:numCache>
                <c:formatCode>0.00</c:formatCode>
                <c:ptCount val="5"/>
                <c:pt idx="0">
                  <c:v>11.381035968033149</c:v>
                </c:pt>
                <c:pt idx="1">
                  <c:v>5.7509986820334147</c:v>
                </c:pt>
                <c:pt idx="2">
                  <c:v>6.5029317166272804</c:v>
                </c:pt>
                <c:pt idx="3">
                  <c:v>9.2419824442741891</c:v>
                </c:pt>
                <c:pt idx="4">
                  <c:v>4.7790352272814696</c:v>
                </c:pt>
              </c:numCache>
            </c:numRef>
          </c:val>
        </c:ser>
        <c:axId val="68110592"/>
        <c:axId val="68112768"/>
      </c:barChart>
      <c:catAx>
        <c:axId val="68110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112768"/>
        <c:crosses val="autoZero"/>
        <c:auto val="1"/>
        <c:lblAlgn val="ctr"/>
        <c:lblOffset val="100"/>
      </c:catAx>
      <c:valAx>
        <c:axId val="68112768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110592"/>
        <c:crosses val="autoZero"/>
        <c:crossBetween val="between"/>
        <c:majorUnit val="5"/>
      </c:valAx>
      <c:spPr>
        <a:solidFill>
          <a:srgbClr val="E9EDF4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417215361646641"/>
          <c:y val="0.28750083512288277"/>
          <c:w val="9.1866093095441428E-2"/>
          <c:h val="0.4386368408494393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Processing Speed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786833905890852E-2"/>
          <c:y val="0.11038947913690048"/>
          <c:w val="0.87339048167736122"/>
          <c:h val="0.70779136623071581"/>
        </c:manualLayout>
      </c:layout>
      <c:barChart>
        <c:barDir val="col"/>
        <c:grouping val="clustered"/>
        <c:ser>
          <c:idx val="0"/>
          <c:order val="0"/>
          <c:tx>
            <c:v>WAIS-DigitSym</c:v>
          </c:tx>
          <c:spPr>
            <a:solidFill>
              <a:srgbClr val="DB843D"/>
            </a:solidFill>
            <a:ln w="3175">
              <a:solidFill>
                <a:srgbClr val="90713A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(Sheet1!$D$17,Sheet1!$F$17,Sheet1!$H$17,Sheet1!$J$17,Sheet1!$L$17)</c:f>
              <c:numCache>
                <c:formatCode>0.00</c:formatCode>
                <c:ptCount val="5"/>
                <c:pt idx="0">
                  <c:v>92.5161212251693</c:v>
                </c:pt>
                <c:pt idx="1">
                  <c:v>71.191122123264719</c:v>
                </c:pt>
                <c:pt idx="2">
                  <c:v>80.332746184141925</c:v>
                </c:pt>
                <c:pt idx="3">
                  <c:v>77.98324527205456</c:v>
                </c:pt>
                <c:pt idx="4">
                  <c:v>65.54217416103242</c:v>
                </c:pt>
              </c:numCache>
            </c:numRef>
          </c:val>
        </c:ser>
        <c:ser>
          <c:idx val="1"/>
          <c:order val="1"/>
          <c:tx>
            <c:v>Trails A</c:v>
          </c:tx>
          <c:spPr>
            <a:solidFill>
              <a:srgbClr val="F9B590"/>
            </a:solidFill>
            <a:ln w="3175">
              <a:solidFill>
                <a:srgbClr val="90713A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(Sheet1!$D$15,Sheet1!$F$15,Sheet1!$H$15,Sheet1!$J$15,Sheet1!$L$15)</c:f>
              <c:numCache>
                <c:formatCode>0.00</c:formatCode>
                <c:ptCount val="5"/>
                <c:pt idx="0">
                  <c:v>82.476034687721011</c:v>
                </c:pt>
                <c:pt idx="1">
                  <c:v>63.656072274140229</c:v>
                </c:pt>
                <c:pt idx="2">
                  <c:v>75.464834593647964</c:v>
                </c:pt>
                <c:pt idx="3">
                  <c:v>74.306343727987368</c:v>
                </c:pt>
                <c:pt idx="4">
                  <c:v>64.193521557221729</c:v>
                </c:pt>
              </c:numCache>
            </c:numRef>
          </c:val>
        </c:ser>
        <c:axId val="68494464"/>
        <c:axId val="68496384"/>
      </c:barChart>
      <c:catAx>
        <c:axId val="68494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496384"/>
        <c:crosses val="autoZero"/>
        <c:auto val="1"/>
        <c:lblAlgn val="ctr"/>
        <c:lblOffset val="100"/>
      </c:catAx>
      <c:valAx>
        <c:axId val="68496384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494464"/>
        <c:crosses val="autoZero"/>
        <c:crossBetween val="between"/>
        <c:majorUnit val="5"/>
      </c:valAx>
      <c:spPr>
        <a:solidFill>
          <a:srgbClr val="FDEFE9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116640232685177"/>
          <c:y val="0.54734949719885195"/>
          <c:w val="6.883360563172583E-2"/>
          <c:h val="0.22196993557623501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Executive Functioning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786833905890852E-2"/>
          <c:y val="0.11074936181380066"/>
          <c:w val="0.89914155239020765"/>
          <c:h val="0.70684151510572879"/>
        </c:manualLayout>
      </c:layout>
      <c:barChart>
        <c:barDir val="col"/>
        <c:grouping val="clustered"/>
        <c:ser>
          <c:idx val="0"/>
          <c:order val="0"/>
          <c:tx>
            <c:v>Trails B</c:v>
          </c:tx>
          <c:spPr>
            <a:solidFill>
              <a:srgbClr val="8064A2"/>
            </a:solidFill>
            <a:ln w="3175">
              <a:solidFill>
                <a:srgbClr val="6666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(Sheet1!$D$16,Sheet1!$F$16,Sheet1!$H$16,Sheet1!$J$16,Sheet1!$L$16)</c:f>
              <c:numCache>
                <c:formatCode>0.00</c:formatCode>
                <c:ptCount val="5"/>
                <c:pt idx="0">
                  <c:v>77.593296161983687</c:v>
                </c:pt>
                <c:pt idx="1">
                  <c:v>52.604703780045568</c:v>
                </c:pt>
                <c:pt idx="2">
                  <c:v>66.022826365827513</c:v>
                </c:pt>
                <c:pt idx="3">
                  <c:v>70.282689248884111</c:v>
                </c:pt>
                <c:pt idx="4">
                  <c:v>55.013403771226621</c:v>
                </c:pt>
              </c:numCache>
            </c:numRef>
          </c:val>
        </c:ser>
        <c:axId val="68430848"/>
        <c:axId val="68473984"/>
      </c:barChart>
      <c:catAx>
        <c:axId val="68430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473984"/>
        <c:crosses val="autoZero"/>
        <c:auto val="1"/>
        <c:lblAlgn val="ctr"/>
        <c:lblOffset val="100"/>
      </c:catAx>
      <c:valAx>
        <c:axId val="68473984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430848"/>
        <c:crosses val="autoZero"/>
        <c:crossBetween val="between"/>
        <c:majorUnit val="5"/>
      </c:valAx>
      <c:spPr>
        <a:solidFill>
          <a:srgbClr val="EDEAF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5650101183574454"/>
          <c:y val="0.57305582489302065"/>
          <c:w val="3.7284897013087528E-2"/>
          <c:h val="0.1036016331291921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7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Language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823179232638432E-2"/>
          <c:y val="0.11038947913690048"/>
          <c:w val="0.83249799221913423"/>
          <c:h val="0.70779136623071581"/>
        </c:manualLayout>
      </c:layout>
      <c:barChart>
        <c:barDir val="col"/>
        <c:grouping val="clustered"/>
        <c:ser>
          <c:idx val="0"/>
          <c:order val="0"/>
          <c:tx>
            <c:v>Verbal Fluency: Animals</c:v>
          </c:tx>
          <c:spPr>
            <a:solidFill>
              <a:srgbClr val="7F9A48"/>
            </a:solidFill>
            <a:ln w="3175">
              <a:solidFill>
                <a:srgbClr val="90713A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(Sheet1!$D$13,Sheet1!$F$13,Sheet1!$H$13,Sheet1!$J$13,Sheet1!$L$13)</c:f>
              <c:numCache>
                <c:formatCode>0.00</c:formatCode>
                <c:ptCount val="5"/>
                <c:pt idx="0">
                  <c:v>5.8484870485216112</c:v>
                </c:pt>
                <c:pt idx="1">
                  <c:v>2.3332028910143743</c:v>
                </c:pt>
                <c:pt idx="2">
                  <c:v>3.3184857327188566</c:v>
                </c:pt>
                <c:pt idx="3">
                  <c:v>4.7737876495421716</c:v>
                </c:pt>
                <c:pt idx="4">
                  <c:v>2.4748483717871084</c:v>
                </c:pt>
              </c:numCache>
            </c:numRef>
          </c:val>
        </c:ser>
        <c:ser>
          <c:idx val="1"/>
          <c:order val="1"/>
          <c:tx>
            <c:v>Verbal Fluency: Vegetables</c:v>
          </c:tx>
          <c:spPr>
            <a:solidFill>
              <a:srgbClr val="9BBB59"/>
            </a:solidFill>
            <a:ln w="3175">
              <a:solidFill>
                <a:srgbClr val="90713A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(Sheet1!$D$14,Sheet1!$F$14,Sheet1!$H$14,Sheet1!$J$14,Sheet1!$L$14)</c:f>
              <c:numCache>
                <c:formatCode>0.00</c:formatCode>
                <c:ptCount val="5"/>
                <c:pt idx="0">
                  <c:v>14.993960190261024</c:v>
                </c:pt>
                <c:pt idx="1">
                  <c:v>8.2041978124669726</c:v>
                </c:pt>
                <c:pt idx="2">
                  <c:v>5.1709625979486695</c:v>
                </c:pt>
                <c:pt idx="3">
                  <c:v>5.7286681757312667</c:v>
                </c:pt>
                <c:pt idx="4">
                  <c:v>4.0059156863817114</c:v>
                </c:pt>
              </c:numCache>
            </c:numRef>
          </c:val>
        </c:ser>
        <c:ser>
          <c:idx val="2"/>
          <c:order val="2"/>
          <c:tx>
            <c:v>Naming: BNT</c:v>
          </c:tx>
          <c:spPr>
            <a:solidFill>
              <a:srgbClr val="C6D6AC"/>
            </a:solidFill>
            <a:ln w="3175">
              <a:solidFill>
                <a:srgbClr val="90713A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(Sheet1!$D$18,Sheet1!$F$18,Sheet1!$H$18,Sheet1!$J$18,Sheet1!$L$18)</c:f>
              <c:numCache>
                <c:formatCode>0.00</c:formatCode>
                <c:ptCount val="5"/>
                <c:pt idx="0">
                  <c:v>36.462463488632743</c:v>
                </c:pt>
                <c:pt idx="1">
                  <c:v>19.963589989708417</c:v>
                </c:pt>
                <c:pt idx="2">
                  <c:v>29.092427986734325</c:v>
                </c:pt>
                <c:pt idx="3">
                  <c:v>38.432702901208373</c:v>
                </c:pt>
                <c:pt idx="4">
                  <c:v>24.588385038026161</c:v>
                </c:pt>
              </c:numCache>
            </c:numRef>
          </c:val>
        </c:ser>
        <c:axId val="68569728"/>
        <c:axId val="68616960"/>
      </c:barChart>
      <c:catAx>
        <c:axId val="6856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616960"/>
        <c:crosses val="autoZero"/>
        <c:auto val="1"/>
        <c:lblAlgn val="ctr"/>
        <c:lblOffset val="100"/>
      </c:catAx>
      <c:valAx>
        <c:axId val="68616960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569728"/>
        <c:crosses val="autoZero"/>
        <c:crossBetween val="between"/>
        <c:majorUnit val="5"/>
      </c:valAx>
      <c:spPr>
        <a:solidFill>
          <a:srgbClr val="EFF3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138818456670321"/>
          <c:y val="0.51894035374562353"/>
          <c:w val="0.10287088549749936"/>
          <c:h val="0.3242426628489624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MMSE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823179232638432E-2"/>
          <c:y val="0.11038947913690048"/>
          <c:w val="0.90121665709706678"/>
          <c:h val="0.70779136623071581"/>
        </c:manualLayout>
      </c:layout>
      <c:barChart>
        <c:barDir val="col"/>
        <c:grouping val="clustered"/>
        <c:ser>
          <c:idx val="0"/>
          <c:order val="0"/>
          <c:tx>
            <c:v>MMSE</c:v>
          </c:tx>
          <c:spPr>
            <a:solidFill>
              <a:srgbClr val="4F81BD"/>
            </a:solidFill>
            <a:ln w="3175">
              <a:solidFill>
                <a:srgbClr val="333399"/>
              </a:solidFill>
              <a:prstDash val="solid"/>
            </a:ln>
          </c:spPr>
          <c:cat>
            <c:strLit>
              <c:ptCount val="5"/>
              <c:pt idx="0">
                <c:v>Sex, Age, &amp; Education</c:v>
              </c:pt>
              <c:pt idx="1">
                <c:v>Sex</c:v>
              </c:pt>
              <c:pt idx="2">
                <c:v>Age</c:v>
              </c:pt>
              <c:pt idx="3">
                <c:v>Education</c:v>
              </c:pt>
              <c:pt idx="4">
                <c:v>No Adjustment</c:v>
              </c:pt>
            </c:strLit>
          </c:cat>
          <c:val>
            <c:numRef>
              <c:f>(Sheet1!$D$5,Sheet1!$F$5,Sheet1!$H$5,Sheet1!$J$5,Sheet1!$L$5)</c:f>
              <c:numCache>
                <c:formatCode>0.00</c:formatCode>
                <c:ptCount val="5"/>
                <c:pt idx="0">
                  <c:v>20.141847960946901</c:v>
                </c:pt>
                <c:pt idx="1">
                  <c:v>9.5850708782096667</c:v>
                </c:pt>
                <c:pt idx="2">
                  <c:v>8.412796653695187</c:v>
                </c:pt>
                <c:pt idx="3">
                  <c:v>11.881556234384405</c:v>
                </c:pt>
                <c:pt idx="4">
                  <c:v>6.1967902836371325</c:v>
                </c:pt>
              </c:numCache>
            </c:numRef>
          </c:val>
        </c:ser>
        <c:axId val="68649728"/>
        <c:axId val="68651648"/>
      </c:barChart>
      <c:catAx>
        <c:axId val="6864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600"/>
                  <a:t>Demographic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68651648"/>
        <c:crosses val="autoZero"/>
        <c:auto val="1"/>
        <c:lblAlgn val="ctr"/>
        <c:lblOffset val="100"/>
      </c:catAx>
      <c:valAx>
        <c:axId val="68651648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Percentile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crossAx val="68649728"/>
        <c:crosses val="autoZero"/>
        <c:crossBetween val="between"/>
        <c:majorUnit val="5"/>
      </c:valAx>
      <c:spPr>
        <a:solidFill>
          <a:srgbClr val="E9EDF4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94925494019710299"/>
          <c:y val="0.57765258888093485"/>
          <c:w val="5.0745059802897105E-2"/>
          <c:h val="5.49243440095732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11</xdr:col>
      <xdr:colOff>777240</xdr:colOff>
      <xdr:row>71</xdr:row>
      <xdr:rowOff>167640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</xdr:colOff>
      <xdr:row>73</xdr:row>
      <xdr:rowOff>27940</xdr:rowOff>
    </xdr:from>
    <xdr:to>
      <xdr:col>11</xdr:col>
      <xdr:colOff>787400</xdr:colOff>
      <xdr:row>95</xdr:row>
      <xdr:rowOff>27940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96</xdr:row>
      <xdr:rowOff>68580</xdr:rowOff>
    </xdr:from>
    <xdr:to>
      <xdr:col>11</xdr:col>
      <xdr:colOff>800100</xdr:colOff>
      <xdr:row>118</xdr:row>
      <xdr:rowOff>68580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119</xdr:row>
      <xdr:rowOff>76200</xdr:rowOff>
    </xdr:from>
    <xdr:to>
      <xdr:col>11</xdr:col>
      <xdr:colOff>800100</xdr:colOff>
      <xdr:row>141</xdr:row>
      <xdr:rowOff>68580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</xdr:colOff>
      <xdr:row>142</xdr:row>
      <xdr:rowOff>76200</xdr:rowOff>
    </xdr:from>
    <xdr:to>
      <xdr:col>11</xdr:col>
      <xdr:colOff>800100</xdr:colOff>
      <xdr:row>164</xdr:row>
      <xdr:rowOff>76200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26</xdr:row>
      <xdr:rowOff>167640</xdr:rowOff>
    </xdr:from>
    <xdr:to>
      <xdr:col>11</xdr:col>
      <xdr:colOff>784860</xdr:colOff>
      <xdr:row>48</xdr:row>
      <xdr:rowOff>167640</xdr:rowOff>
    </xdr:to>
    <xdr:graphicFrame macro="">
      <xdr:nvGraphicFramePr>
        <xdr:cNvPr id="10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0.05399</cdr:x>
      <cdr:y>0.79439</cdr:y>
    </cdr:from>
    <cdr:to>
      <cdr:x>0.9366</cdr:x>
      <cdr:y>0.81658</cdr:y>
    </cdr:to>
    <cdr:sp macro="" textlink="">
      <cdr:nvSpPr>
        <cdr:cNvPr id="2" name="Rectangle 1"/>
        <cdr:cNvSpPr/>
      </cdr:nvSpPr>
      <cdr:spPr>
        <a:xfrm xmlns:a="http://schemas.openxmlformats.org/drawingml/2006/main" flipV="1">
          <a:off x="856518" y="3311143"/>
          <a:ext cx="14002482" cy="9245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0.05363</cdr:x>
      <cdr:y>0.73126</cdr:y>
    </cdr:from>
    <cdr:to>
      <cdr:x>0.93679</cdr:x>
      <cdr:y>0.79401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50807" y="3048000"/>
          <a:ext cx="14011192" cy="26153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0.0524</cdr:x>
      <cdr:y>0.62994</cdr:y>
    </cdr:from>
    <cdr:to>
      <cdr:x>0.9374</cdr:x>
      <cdr:y>0.73444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31276" y="2625694"/>
          <a:ext cx="14040423" cy="4355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0.05166</cdr:x>
      <cdr:y>0.28543</cdr:y>
    </cdr:from>
    <cdr:to>
      <cdr:x>0.9382</cdr:x>
      <cdr:y>0.62175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19529" y="1189712"/>
          <a:ext cx="14064871" cy="14018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0.05249</cdr:x>
      <cdr:y>0.17849</cdr:y>
    </cdr:from>
    <cdr:to>
      <cdr:x>0.9366</cdr:x>
      <cdr:y>0.28845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32704" y="743959"/>
          <a:ext cx="14026295" cy="4583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0.05164</cdr:x>
      <cdr:y>0.1294</cdr:y>
    </cdr:from>
    <cdr:to>
      <cdr:x>0.9366</cdr:x>
      <cdr:y>0.18282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19212" y="539373"/>
          <a:ext cx="14039788" cy="222627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0.05072</cdr:x>
      <cdr:y>0.11554</cdr:y>
    </cdr:from>
    <cdr:to>
      <cdr:x>0.9366</cdr:x>
      <cdr:y>0.13102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04600" y="481586"/>
          <a:ext cx="14054400" cy="6451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0.05353</cdr:x>
      <cdr:y>0.80659</cdr:y>
    </cdr:from>
    <cdr:to>
      <cdr:x>0.89447</cdr:x>
      <cdr:y>0.82506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49212" y="3380416"/>
          <a:ext cx="13341379" cy="7740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0.05015</cdr:x>
      <cdr:y>0.74485</cdr:y>
    </cdr:from>
    <cdr:to>
      <cdr:x>0.89513</cdr:x>
      <cdr:y>0.80545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95557" y="3121660"/>
          <a:ext cx="13405583" cy="2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0.05252</cdr:x>
      <cdr:y>0.65183</cdr:y>
    </cdr:from>
    <cdr:to>
      <cdr:x>0.89513</cdr:x>
      <cdr:y>0.75968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33173" y="2731817"/>
          <a:ext cx="13367967" cy="4519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0.05345</cdr:x>
      <cdr:y>0.29074</cdr:y>
    </cdr:from>
    <cdr:to>
      <cdr:x>0.89451</cdr:x>
      <cdr:y>0.65091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47951" y="1218474"/>
          <a:ext cx="13343283" cy="15094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0.05008</cdr:x>
      <cdr:y>0.18634</cdr:y>
    </cdr:from>
    <cdr:to>
      <cdr:x>0.89433</cdr:x>
      <cdr:y>0.29655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94454" y="780933"/>
          <a:ext cx="13393986" cy="4618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0.05121</cdr:x>
      <cdr:y>0.1297</cdr:y>
    </cdr:from>
    <cdr:to>
      <cdr:x>0.89513</cdr:x>
      <cdr:y>0.18064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12390" y="543560"/>
          <a:ext cx="13388750" cy="213523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0.05082</cdr:x>
      <cdr:y>0.11241</cdr:y>
    </cdr:from>
    <cdr:to>
      <cdr:x>0.89169</cdr:x>
      <cdr:y>0.13049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06194" y="471091"/>
          <a:ext cx="13340268" cy="75774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0.05163</cdr:x>
      <cdr:y>0.80382</cdr:y>
    </cdr:from>
    <cdr:to>
      <cdr:x>0.92402</cdr:x>
      <cdr:y>0.81473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19909" y="3368805"/>
          <a:ext cx="13853671" cy="457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0.04892</cdr:x>
      <cdr:y>0.75845</cdr:y>
    </cdr:from>
    <cdr:to>
      <cdr:x>0.92402</cdr:x>
      <cdr:y>0.80485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76882" y="3178661"/>
          <a:ext cx="13896698" cy="1944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0.05161</cdr:x>
      <cdr:y>0.66689</cdr:y>
    </cdr:from>
    <cdr:to>
      <cdr:x>0.92242</cdr:x>
      <cdr:y>0.76736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19587" y="2794936"/>
          <a:ext cx="13828593" cy="4210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0.05342</cdr:x>
      <cdr:y>0.28925</cdr:y>
    </cdr:from>
    <cdr:to>
      <cdr:x>0.92482</cdr:x>
      <cdr:y>0.66545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48326" y="1212228"/>
          <a:ext cx="13837954" cy="15766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0.05121</cdr:x>
      <cdr:y>0.18185</cdr:y>
    </cdr:from>
    <cdr:to>
      <cdr:x>0.92402</cdr:x>
      <cdr:y>0.29206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13239" y="762116"/>
          <a:ext cx="13860341" cy="4618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0.05315</cdr:x>
      <cdr:y>0.12571</cdr:y>
    </cdr:from>
    <cdr:to>
      <cdr:x>0.92322</cdr:x>
      <cdr:y>0.18364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44038" y="526833"/>
          <a:ext cx="13816842" cy="242787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0.05237</cdr:x>
      <cdr:y>0.11087</cdr:y>
    </cdr:from>
    <cdr:to>
      <cdr:x>0.92402</cdr:x>
      <cdr:y>0.12303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31656" y="464636"/>
          <a:ext cx="13841924" cy="50984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0.80058</cdr:y>
    </cdr:from>
    <cdr:to>
      <cdr:x>0.95016</cdr:x>
      <cdr:y>0.8129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05315" y="3349110"/>
          <a:ext cx="14183294" cy="5153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0.05464</cdr:x>
      <cdr:y>0.76641</cdr:y>
    </cdr:from>
    <cdr:to>
      <cdr:x>0.94856</cdr:x>
      <cdr:y>0.81979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74574" y="3070867"/>
          <a:ext cx="14251126" cy="2211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0.05526</cdr:x>
      <cdr:y>0.66286</cdr:y>
    </cdr:from>
    <cdr:to>
      <cdr:x>0.94903</cdr:x>
      <cdr:y>0.76785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80413" y="2640339"/>
          <a:ext cx="14252907" cy="4343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0.05152</cdr:x>
      <cdr:y>0.29119</cdr:y>
    </cdr:from>
    <cdr:to>
      <cdr:x>0.94962</cdr:x>
      <cdr:y>0.66788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18162" y="1218176"/>
          <a:ext cx="14261818" cy="15758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0.05148</cdr:x>
      <cdr:y>0.1801</cdr:y>
    </cdr:from>
    <cdr:to>
      <cdr:x>0.94882</cdr:x>
      <cdr:y>0.28982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17523" y="753420"/>
          <a:ext cx="14249758" cy="4590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</cdr:x>
      <cdr:y>0.12539</cdr:y>
    </cdr:from>
    <cdr:to>
      <cdr:x>0.94743</cdr:x>
      <cdr:y>0.18108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41652" y="524565"/>
          <a:ext cx="14203620" cy="232973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0.05226</cdr:x>
      <cdr:y>0.11658</cdr:y>
    </cdr:from>
    <cdr:to>
      <cdr:x>0.94568</cdr:x>
      <cdr:y>0.12748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29905" y="487692"/>
          <a:ext cx="14187581" cy="4559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0.05083</cdr:x>
      <cdr:y>0.80988</cdr:y>
    </cdr:from>
    <cdr:to>
      <cdr:x>0.87989</cdr:x>
      <cdr:y>0.82506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06361" y="3394205"/>
          <a:ext cx="13152904" cy="636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0.05232</cdr:x>
      <cdr:y>0.74562</cdr:y>
    </cdr:from>
    <cdr:to>
      <cdr:x>0.88197</cdr:x>
      <cdr:y>0.81212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30016" y="3124886"/>
          <a:ext cx="13162264" cy="2787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0.05021</cdr:x>
      <cdr:y>0.64237</cdr:y>
    </cdr:from>
    <cdr:to>
      <cdr:x>0.88232</cdr:x>
      <cdr:y>0.74615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96517" y="2692164"/>
          <a:ext cx="13201423" cy="43494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0.0522</cdr:x>
      <cdr:y>0.29812</cdr:y>
    </cdr:from>
    <cdr:to>
      <cdr:x>0.88197</cdr:x>
      <cdr:y>0.62793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28112" y="1249406"/>
          <a:ext cx="13164168" cy="13822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0.05143</cdr:x>
      <cdr:y>0.19171</cdr:y>
    </cdr:from>
    <cdr:to>
      <cdr:x>0.88152</cdr:x>
      <cdr:y>0.30143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15888" y="803441"/>
          <a:ext cx="13169352" cy="45983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0.0517</cdr:x>
      <cdr:y>0.13162</cdr:y>
    </cdr:from>
    <cdr:to>
      <cdr:x>0.88197</cdr:x>
      <cdr:y>0.18755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20180" y="551602"/>
          <a:ext cx="13172100" cy="234402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0.05176</cdr:x>
      <cdr:y>0.11623</cdr:y>
    </cdr:from>
    <cdr:to>
      <cdr:x>0.88117</cdr:x>
      <cdr:y>0.13112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21123" y="487102"/>
          <a:ext cx="13158457" cy="62404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0.05254</cdr:x>
      <cdr:y>0.79636</cdr:y>
    </cdr:from>
    <cdr:to>
      <cdr:x>0.95213</cdr:x>
      <cdr:y>0.8219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33498" y="3337560"/>
          <a:ext cx="14271882" cy="10701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0.05155</cdr:x>
      <cdr:y>0.7468</cdr:y>
    </cdr:from>
    <cdr:to>
      <cdr:x>0.95213</cdr:x>
      <cdr:y>0.79636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17776" y="3129835"/>
          <a:ext cx="14287604" cy="2077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0.05092</cdr:x>
      <cdr:y>0.64557</cdr:y>
    </cdr:from>
    <cdr:to>
      <cdr:x>0.95293</cdr:x>
      <cdr:y>0.74478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07781" y="2705578"/>
          <a:ext cx="14310299" cy="4157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0.05089</cdr:x>
      <cdr:y>0.29636</cdr:y>
    </cdr:from>
    <cdr:to>
      <cdr:x>0.95213</cdr:x>
      <cdr:y>0.63813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07313" y="1242060"/>
          <a:ext cx="14298067" cy="14323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0.05148</cdr:x>
      <cdr:y>0.17386</cdr:y>
    </cdr:from>
    <cdr:to>
      <cdr:x>0.95053</cdr:x>
      <cdr:y>0.28712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16665" y="728631"/>
          <a:ext cx="14263315" cy="4746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0.05161</cdr:x>
      <cdr:y>0.12718</cdr:y>
    </cdr:from>
    <cdr:to>
      <cdr:x>0.95293</cdr:x>
      <cdr:y>0.17515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18736" y="532995"/>
          <a:ext cx="14299344" cy="201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0.05094</cdr:x>
      <cdr:y>0.11544</cdr:y>
    </cdr:from>
    <cdr:to>
      <cdr:x>0.94973</cdr:x>
      <cdr:y>0.12667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08098" y="483790"/>
          <a:ext cx="14259182" cy="4706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showGridLines="0" tabSelected="1" zoomScale="75" zoomScaleNormal="75" workbookViewId="0">
      <selection activeCell="B5" sqref="B5"/>
    </sheetView>
  </sheetViews>
  <sheetFormatPr defaultColWidth="8.7109375" defaultRowHeight="15"/>
  <cols>
    <col min="1" max="1" width="37.42578125" customWidth="1"/>
    <col min="2" max="3" width="18.7109375" customWidth="1"/>
    <col min="4" max="4" width="20.7109375" customWidth="1"/>
    <col min="5" max="12" width="18.7109375" customWidth="1"/>
  </cols>
  <sheetData>
    <row r="1" spans="1:12" ht="18" thickBot="1">
      <c r="B1" s="1" t="s">
        <v>7</v>
      </c>
    </row>
    <row r="2" spans="1:12" ht="19.5" thickTop="1">
      <c r="A2" s="41" t="s">
        <v>3</v>
      </c>
      <c r="B2" s="4">
        <v>1</v>
      </c>
      <c r="C2" s="2"/>
    </row>
    <row r="3" spans="1:12" ht="19.5" thickBot="1">
      <c r="A3" s="42" t="s">
        <v>1</v>
      </c>
      <c r="B3" s="5">
        <v>80</v>
      </c>
      <c r="C3" s="49" t="s">
        <v>11</v>
      </c>
      <c r="D3" s="50"/>
      <c r="E3" s="49" t="s">
        <v>8</v>
      </c>
      <c r="F3" s="50"/>
      <c r="G3" s="49" t="s">
        <v>9</v>
      </c>
      <c r="H3" s="50"/>
      <c r="I3" s="49" t="s">
        <v>10</v>
      </c>
      <c r="J3" s="50"/>
      <c r="K3" s="49" t="s">
        <v>14</v>
      </c>
      <c r="L3" s="50"/>
    </row>
    <row r="4" spans="1:12" ht="20.25" thickTop="1" thickBot="1">
      <c r="A4" s="43" t="s">
        <v>2</v>
      </c>
      <c r="B4" s="6">
        <v>12</v>
      </c>
      <c r="C4" s="48" t="s">
        <v>47</v>
      </c>
      <c r="D4" s="48" t="s">
        <v>6</v>
      </c>
      <c r="E4" s="48" t="s">
        <v>47</v>
      </c>
      <c r="F4" s="48" t="s">
        <v>6</v>
      </c>
      <c r="G4" s="48" t="s">
        <v>47</v>
      </c>
      <c r="H4" s="48" t="s">
        <v>6</v>
      </c>
      <c r="I4" s="48" t="s">
        <v>47</v>
      </c>
      <c r="J4" s="48" t="s">
        <v>6</v>
      </c>
      <c r="K4" s="48" t="s">
        <v>47</v>
      </c>
      <c r="L4" s="48" t="s">
        <v>6</v>
      </c>
    </row>
    <row r="5" spans="1:12" ht="19.5" thickTop="1">
      <c r="A5" s="44" t="s">
        <v>0</v>
      </c>
      <c r="B5" s="7">
        <v>27</v>
      </c>
      <c r="C5" s="16">
        <f>(B5-(28.40921584 + (-0.48003363*B2) + (-0.02015242*B3) + (0.14331069*B4)))/(1.239254)</f>
        <v>-0.83656529654130707</v>
      </c>
      <c r="D5" s="9">
        <f t="shared" ref="D5:L18" si="0">NORMSDIST(C5)*100</f>
        <v>20.141847960946901</v>
      </c>
      <c r="E5" s="16">
        <f>(B5-(29.1273915 + (-0.3931007*B2)))/(1.328386)</f>
        <v>-1.3055623892452948</v>
      </c>
      <c r="F5" s="9">
        <f t="shared" si="0"/>
        <v>9.5850708782096667</v>
      </c>
      <c r="G5" s="16">
        <f>(B5-(30.82062794 + (-0.02506436*B3)))/(1.317637)</f>
        <v>-1.3778295084306231</v>
      </c>
      <c r="H5" s="9">
        <f t="shared" si="0"/>
        <v>8.412796653695187</v>
      </c>
      <c r="I5" s="16">
        <f>(B5-(26.8391996 + (0.1391949*B4)))/(1.278264)</f>
        <v>-1.1809285092907258</v>
      </c>
      <c r="J5" s="9">
        <f t="shared" si="0"/>
        <v>11.881556234384405</v>
      </c>
      <c r="K5" s="20">
        <f>(B5-29)/1.3</f>
        <v>-1.5384615384615383</v>
      </c>
      <c r="L5" s="9">
        <f t="shared" si="0"/>
        <v>6.1967902836371325</v>
      </c>
    </row>
    <row r="6" spans="1:12" ht="18.75">
      <c r="A6" s="44" t="s">
        <v>38</v>
      </c>
      <c r="B6" s="5">
        <v>7</v>
      </c>
      <c r="C6" s="17">
        <f>(B6-(10.2246123 + (-1.2134844*B2) + (-0.0229675*B3) + (0.3713205*B4)))/(3.727395)</f>
        <v>-1.2420400574664077</v>
      </c>
      <c r="D6" s="9">
        <f t="shared" si="0"/>
        <v>10.711089145338693</v>
      </c>
      <c r="E6" s="17">
        <f>(B6-(14.221799 + (-0.949577*B2)))/(3.886787)</f>
        <v>-1.613729283338655</v>
      </c>
      <c r="F6" s="9">
        <f t="shared" si="0"/>
        <v>5.3293079646556718</v>
      </c>
      <c r="G6" s="17">
        <f>(B6-(16.47531975 + (-0.03536924*B3)))/(3.896562)</f>
        <v>-1.7055498026208749</v>
      </c>
      <c r="H6" s="9">
        <f t="shared" si="0"/>
        <v>4.4045966107266965</v>
      </c>
      <c r="I6" s="17">
        <f>(B6-(8.4397449+ (0.3519897*B6)))/(3.780196)</f>
        <v>-1.0326641264103769</v>
      </c>
      <c r="J6" s="9">
        <f t="shared" si="0"/>
        <v>15.088055354212448</v>
      </c>
      <c r="K6" s="13">
        <f>(B6-13.9)/3.9</f>
        <v>-1.7692307692307694</v>
      </c>
      <c r="L6" s="9">
        <f t="shared" si="0"/>
        <v>3.8427685675959555</v>
      </c>
    </row>
    <row r="7" spans="1:12" ht="18.75">
      <c r="A7" s="44" t="s">
        <v>37</v>
      </c>
      <c r="B7" s="5">
        <v>6</v>
      </c>
      <c r="C7" s="17">
        <f>(B7 - (9.1318338 + (-1.38710825*B2) + (-0.02623125*B3) + (0.40779118*B4) + (-0.02285031*B8)))/4.058524</f>
        <v>-0.92150714397648004</v>
      </c>
      <c r="D7" s="9">
        <f t="shared" si="0"/>
        <v>17.839285657549063</v>
      </c>
      <c r="E7" s="17">
        <f>(B7-(13.81461766 + (-1.10192267*B2) +(-0.03926137*B8)))/(4.233959)</f>
        <v>-1.2608877506844067</v>
      </c>
      <c r="F7" s="9">
        <f t="shared" si="0"/>
        <v>10.367464604030019</v>
      </c>
      <c r="G7" s="17">
        <f>(B7-(16.10519455 + (-0.03934606*B3) +(-0.03031585*B8)))/(4.247921)</f>
        <v>-1.3880801926401174</v>
      </c>
      <c r="H7" s="9">
        <f t="shared" si="0"/>
        <v>8.2556313652306539</v>
      </c>
      <c r="I7" s="17">
        <f>(B7-(7.13635395+ (0.38499834*B4) +(-0.02434535*B8)))/(4.121704)</f>
        <v>-1.1898590437353092</v>
      </c>
      <c r="J7" s="9">
        <f t="shared" si="0"/>
        <v>11.705089914183908</v>
      </c>
      <c r="K7" s="13">
        <f>(B7-12.6)/4.3</f>
        <v>-1.5348837209302326</v>
      </c>
      <c r="L7" s="9">
        <f t="shared" si="0"/>
        <v>6.2406196465908952</v>
      </c>
    </row>
    <row r="8" spans="1:12" ht="18.75">
      <c r="A8" s="45" t="s">
        <v>32</v>
      </c>
      <c r="B8" s="5">
        <v>35</v>
      </c>
      <c r="C8" s="18"/>
      <c r="D8" s="11"/>
      <c r="E8" s="18"/>
      <c r="F8" s="11"/>
      <c r="G8" s="18"/>
      <c r="H8" s="11"/>
      <c r="I8" s="18"/>
      <c r="J8" s="11"/>
      <c r="K8" s="21"/>
      <c r="L8" s="3"/>
    </row>
    <row r="9" spans="1:12" ht="18.75">
      <c r="A9" s="46" t="s">
        <v>33</v>
      </c>
      <c r="B9" s="5">
        <v>6</v>
      </c>
      <c r="C9" s="17">
        <f>(B9 - (7.49757817 + (0.09211753*B2) + (-0.02061972*B3) + (0.16761972*B4)))/(1.991555)</f>
        <v>-0.97991506134653517</v>
      </c>
      <c r="D9" s="9">
        <f t="shared" si="0"/>
        <v>16.356402386598901</v>
      </c>
      <c r="E9" s="17">
        <f>(B9-(8.5558184 + (0.1962478*B2)))/(2.064162)</f>
        <v>-1.3332607615099976</v>
      </c>
      <c r="F9" s="9">
        <f t="shared" si="0"/>
        <v>9.1223122811898492</v>
      </c>
      <c r="G9" s="17">
        <f>(B9-(10.41234484 + (-0.02457798*B3)))/(2.051552)</f>
        <v>-1.1923199801906066</v>
      </c>
      <c r="H9" s="9">
        <f t="shared" si="0"/>
        <v>11.656790153972684</v>
      </c>
      <c r="I9" s="17">
        <f>(B9-(5.902182 + (0.1757035*B4)))/(2.002292)</f>
        <v>-1.0041612312290114</v>
      </c>
      <c r="J9" s="9">
        <f t="shared" si="0"/>
        <v>15.765045275386191</v>
      </c>
      <c r="K9" s="13">
        <f>(B9-8.6)/2.1</f>
        <v>-1.2380952380952379</v>
      </c>
      <c r="L9" s="9">
        <f t="shared" si="0"/>
        <v>10.784037468050755</v>
      </c>
    </row>
    <row r="10" spans="1:12" ht="18.75">
      <c r="A10" s="44" t="s">
        <v>34</v>
      </c>
      <c r="B10" s="5">
        <v>5</v>
      </c>
      <c r="C10" s="17">
        <f>(B10-(6.086995861 + (0.054028193*B2) + (-0.008226427*B3) + (0.079976881*B4)))/(1.075859)</f>
        <v>-1.3409122068969999</v>
      </c>
      <c r="D10" s="9">
        <f t="shared" si="0"/>
        <v>8.9974479233478899</v>
      </c>
      <c r="E10" s="17">
        <f>(B10-(6.7084714 + (0.1058669*B2)))/(1.104948)</f>
        <v>-1.6420123842931968</v>
      </c>
      <c r="F10" s="9">
        <f t="shared" si="0"/>
        <v>5.0293718788560371</v>
      </c>
      <c r="G10" s="17">
        <f>(B10-(7.48010962 + (-0.01010176*B3)))/(1.101463)</f>
        <v>-1.5179527773515769</v>
      </c>
      <c r="H10" s="9">
        <f t="shared" si="0"/>
        <v>6.4513151818353265</v>
      </c>
      <c r="I10" s="17">
        <f>(B10-(5.45070506 + (0.08356626*B4)))/(1.079137)</f>
        <v>-1.3469097806858628</v>
      </c>
      <c r="J10" s="9">
        <f t="shared" si="0"/>
        <v>8.9004645553117712</v>
      </c>
      <c r="K10" s="13">
        <f>(B10-6.7)/1.1</f>
        <v>-1.5454545454545454</v>
      </c>
      <c r="L10" s="9">
        <f t="shared" si="0"/>
        <v>6.111817772400574</v>
      </c>
    </row>
    <row r="11" spans="1:12" ht="18.75">
      <c r="A11" s="44" t="s">
        <v>35</v>
      </c>
      <c r="B11" s="5">
        <v>4</v>
      </c>
      <c r="C11" s="17">
        <f>(B11-(5.42325112 + (-0.21758741*B2) + (-0.02213182*B3) + (0.20484328*B4)))/(2.081026)</f>
        <v>-0.90976156472816727</v>
      </c>
      <c r="D11" s="9">
        <f t="shared" si="0"/>
        <v>18.147413424261337</v>
      </c>
      <c r="E11" s="17">
        <f>(B11-(6.9385052 + (-0.08648314*B2)))/(2.180054)</f>
        <v>-1.308234594188951</v>
      </c>
      <c r="F11" s="9">
        <f t="shared" si="0"/>
        <v>9.53968758788365</v>
      </c>
      <c r="G11" s="17">
        <f>(B11-(8.94335002 + (-0.02793645*B3)))/(2.162436)</f>
        <v>-1.2524921061247594</v>
      </c>
      <c r="H11" s="9">
        <f t="shared" si="0"/>
        <v>10.519530147137267</v>
      </c>
      <c r="I11" s="17">
        <f>(B11-(3.7042306 + (0.2070089*B4)))/(2.095961)</f>
        <v>-1.0440735299941173</v>
      </c>
      <c r="J11" s="9">
        <f t="shared" si="0"/>
        <v>14.822568571604677</v>
      </c>
      <c r="K11" s="13">
        <f>(B11-6.9)/2.2</f>
        <v>-1.3181818181818183</v>
      </c>
      <c r="L11" s="9">
        <f t="shared" si="0"/>
        <v>9.3721395237845506</v>
      </c>
    </row>
    <row r="12" spans="1:12" ht="18.75">
      <c r="A12" s="44" t="s">
        <v>36</v>
      </c>
      <c r="B12" s="5">
        <v>3</v>
      </c>
      <c r="C12" s="17">
        <f>(B12-(4.23128012 + (-0.10095663*B2) + (-0.01268344*B3) + (0.10904175*B4)))/(1.180387)</f>
        <v>-1.206510483426199</v>
      </c>
      <c r="D12" s="9">
        <f t="shared" si="0"/>
        <v>11.381035968033149</v>
      </c>
      <c r="E12" s="17">
        <f>(B12-(4.97256386 + (-0.03230651*B2)))/(1.231108)</f>
        <v>-1.5760252959123005</v>
      </c>
      <c r="F12" s="9">
        <f t="shared" si="0"/>
        <v>5.7509986820334147</v>
      </c>
      <c r="G12" s="17">
        <f>(B12-(6.10708244 + (-0.0157313*B3)))/(1.221094)</f>
        <v>-1.513870709380277</v>
      </c>
      <c r="H12" s="9">
        <f t="shared" si="0"/>
        <v>6.5029317166272804</v>
      </c>
      <c r="I12" s="17">
        <f>(B12-(3.2466042 + (0.1107735*B4)))/(1.188451)</f>
        <v>-1.3260001464090656</v>
      </c>
      <c r="J12" s="9">
        <f t="shared" si="0"/>
        <v>9.2419824442741891</v>
      </c>
      <c r="K12" s="13">
        <f>(B12-5)/1.2</f>
        <v>-1.6666666666666667</v>
      </c>
      <c r="L12" s="9">
        <f t="shared" si="0"/>
        <v>4.7790352272814696</v>
      </c>
    </row>
    <row r="13" spans="1:12" ht="18.75">
      <c r="A13" s="44" t="s">
        <v>30</v>
      </c>
      <c r="B13" s="5">
        <v>9</v>
      </c>
      <c r="C13" s="17">
        <f>(B13-(20.65774665 + (0.00454905*B2) + (-0.12844788*B3) + (0.56508779*B4)))/(5.210138)</f>
        <v>-1.5676204315509497</v>
      </c>
      <c r="D13" s="9">
        <f t="shared" si="0"/>
        <v>5.8484870485216112</v>
      </c>
      <c r="E13" s="17">
        <f>(B13-(19.9395501 + (0.2881366*B2)))/(5.643935)</f>
        <v>-1.9893366418996681</v>
      </c>
      <c r="F13" s="9">
        <f t="shared" si="0"/>
        <v>2.3332028910143743</v>
      </c>
      <c r="G13" s="17">
        <f>(B13-(30.4110943 + (-0.1422773*B3)))/(5.462612)</f>
        <v>-1.8359184763625898</v>
      </c>
      <c r="H13" s="9">
        <f t="shared" si="0"/>
        <v>3.3184857327188566</v>
      </c>
      <c r="I13" s="17">
        <f>(B13-(10.7171175 + (0.6023691*B4)))/(5.365629)</f>
        <v>-1.6671944146716071</v>
      </c>
      <c r="J13" s="9">
        <f t="shared" si="0"/>
        <v>4.7737876495421716</v>
      </c>
      <c r="K13" s="13">
        <f>(B13-20)/5.6</f>
        <v>-1.9642857142857144</v>
      </c>
      <c r="L13" s="9">
        <f t="shared" si="0"/>
        <v>2.4748483717871084</v>
      </c>
    </row>
    <row r="14" spans="1:12" ht="18.75">
      <c r="A14" s="44" t="s">
        <v>31</v>
      </c>
      <c r="B14" s="5">
        <v>7</v>
      </c>
      <c r="C14" s="17">
        <f>(B14-(17.88141662 + (-2.946307*B2) + (-0.08972787*B3) + (0.28194984*B4)))/(3.993738)</f>
        <v>-1.036692467057178</v>
      </c>
      <c r="D14" s="9">
        <f t="shared" si="0"/>
        <v>14.993960190261024</v>
      </c>
      <c r="E14" s="17">
        <f>(B14-(15.662411 + (-2.83184*B2)))/(4.190234)</f>
        <v>-1.3914666818129968</v>
      </c>
      <c r="F14" s="9">
        <f t="shared" si="0"/>
        <v>8.2041978124669726</v>
      </c>
      <c r="G14" s="17">
        <f>(B14-(22.3373457 + (-0.10475*B3)))/(4.272246)</f>
        <v>-1.6284983823497059</v>
      </c>
      <c r="H14" s="9">
        <f t="shared" si="0"/>
        <v>5.1709625979486695</v>
      </c>
      <c r="I14" s="17">
        <f>(B14-(10.8989766 + (0.2458817*B4)))/(4.34075)</f>
        <v>-1.577966250071992</v>
      </c>
      <c r="J14" s="9">
        <f t="shared" si="0"/>
        <v>5.7286681757312667</v>
      </c>
      <c r="K14" s="13">
        <f>(B14-14.7)/4.4</f>
        <v>-1.7499999999999998</v>
      </c>
      <c r="L14" s="9">
        <f t="shared" si="0"/>
        <v>4.0059156863817114</v>
      </c>
    </row>
    <row r="15" spans="1:12" ht="18.75">
      <c r="A15" s="44" t="s">
        <v>4</v>
      </c>
      <c r="B15" s="5">
        <v>29</v>
      </c>
      <c r="C15" s="17">
        <f>(-1)*((B15-(9.7995236 + (-0.327358*B2) + (0.5602899*B3) + (-1.0250806*B4)))/(13.91769))</f>
        <v>0.9336599967379644</v>
      </c>
      <c r="D15" s="9">
        <f t="shared" si="0"/>
        <v>82.476034687721011</v>
      </c>
      <c r="E15" s="17">
        <f>(-1)*((B15-(34.7737983 + (-0.3981127*B2)))/(15.39073))</f>
        <v>0.34928074236894574</v>
      </c>
      <c r="F15" s="9">
        <f t="shared" si="0"/>
        <v>63.656072274140229</v>
      </c>
      <c r="G15" s="17">
        <f>(-1)*((B15-(-7.9118342 + (0.5840363*B3)))/(14.23564))</f>
        <v>0.68919063702088545</v>
      </c>
      <c r="H15" s="9">
        <f t="shared" si="0"/>
        <v>75.464834593647964</v>
      </c>
      <c r="I15" s="17">
        <f>(-1)*((B15-(53.100587 + (-1.192522*B4)))/(14.997))</f>
        <v>0.65281876375275061</v>
      </c>
      <c r="J15" s="9">
        <f t="shared" si="0"/>
        <v>74.306343727987368</v>
      </c>
      <c r="K15" s="13">
        <f>(-1)*(B15-34.6)/15.4</f>
        <v>0.3636363636363637</v>
      </c>
      <c r="L15" s="9">
        <f t="shared" si="0"/>
        <v>64.193521557221729</v>
      </c>
    </row>
    <row r="16" spans="1:12" ht="18.75">
      <c r="A16" s="44" t="s">
        <v>5</v>
      </c>
      <c r="B16" s="5">
        <v>84</v>
      </c>
      <c r="C16" s="17">
        <f>(-1)*((B16-(43.216988 + (-2.948423*B2) + (1.700573*B3) + (-4.884626*B4)))/(44.42661))</f>
        <v>0.75852947141364158</v>
      </c>
      <c r="D16" s="9">
        <f t="shared" si="0"/>
        <v>77.593296161983687</v>
      </c>
      <c r="E16" s="17">
        <f>(-1)*((B16-(91.887784 + (-4.621856*B2)))/(49.98612))</f>
        <v>6.5336697467216945E-2</v>
      </c>
      <c r="F16" s="9">
        <f t="shared" si="0"/>
        <v>52.604703780045568</v>
      </c>
      <c r="G16" s="17">
        <f>(-1)*((B16-(-41.082851+(1.804457*B3)))/(46.65784))</f>
        <v>0.41308618230076655</v>
      </c>
      <c r="H16" s="9">
        <f t="shared" si="0"/>
        <v>66.022826365827513</v>
      </c>
      <c r="I16" s="17">
        <f>(-1)*((B16-(174.365897 + (-5.420547*B4)))/(47.54372))</f>
        <v>0.53254842069572983</v>
      </c>
      <c r="J16" s="9">
        <f t="shared" si="0"/>
        <v>70.282689248884111</v>
      </c>
      <c r="K16" s="13">
        <f>(-1)*(B16-90.3)/50</f>
        <v>0.12599999999999995</v>
      </c>
      <c r="L16" s="9">
        <f t="shared" si="0"/>
        <v>55.013403771226621</v>
      </c>
    </row>
    <row r="17" spans="1:12" ht="18.75">
      <c r="A17" s="44" t="s">
        <v>40</v>
      </c>
      <c r="B17" s="5">
        <v>52</v>
      </c>
      <c r="C17" s="17">
        <f>(B17-(71.2260987 + (-3.1523639*B2) + (-0.5580261*B3) + (1.123672*B4)))/(10.47032)</f>
        <v>1.4406712688819445</v>
      </c>
      <c r="D17" s="9">
        <f t="shared" si="0"/>
        <v>92.5161212251693</v>
      </c>
      <c r="E17" s="17">
        <f>(B17-(48.03216 + (-3.00032*B2)))/(12.46592)</f>
        <v>0.55897679433206726</v>
      </c>
      <c r="F17" s="9">
        <f t="shared" si="0"/>
        <v>71.191122123264719</v>
      </c>
      <c r="G17" s="17">
        <f>(B17-(90.3698878 + (-0.5971527*B3)))/(11.01534)</f>
        <v>0.85356677142966075</v>
      </c>
      <c r="H17" s="9">
        <f t="shared" si="0"/>
        <v>80.332746184141925</v>
      </c>
      <c r="I17" s="17">
        <f>(B17-(27.815354 + (1.243307*B4)))/(12.00704)</f>
        <v>0.77162747854591951</v>
      </c>
      <c r="J17" s="9">
        <f t="shared" si="0"/>
        <v>77.98324527205456</v>
      </c>
      <c r="K17" s="13">
        <f>(B17-47)/12.5</f>
        <v>0.4</v>
      </c>
      <c r="L17" s="9">
        <f t="shared" si="0"/>
        <v>65.54217416103242</v>
      </c>
    </row>
    <row r="18" spans="1:12" ht="19.5" thickBot="1">
      <c r="A18" s="47" t="s">
        <v>39</v>
      </c>
      <c r="B18" s="8">
        <v>25</v>
      </c>
      <c r="C18" s="19">
        <f>(B18-(25.49287807 + (0.61686473*B2) + (-0.05142736*B3) + (0.33669818*B4)))/(2.992948)</f>
        <v>-0.3461243429555067</v>
      </c>
      <c r="D18" s="12">
        <f t="shared" si="0"/>
        <v>36.462463488632743</v>
      </c>
      <c r="E18" s="19">
        <f>(B18-(26.8789026 + (0.8220149*B2)))/(3.20423)</f>
        <v>-0.84292248059596198</v>
      </c>
      <c r="F18" s="12">
        <f t="shared" si="0"/>
        <v>19.963589989708417</v>
      </c>
      <c r="G18" s="19">
        <f>(B18-(31.38367735 + (-0.05794036*B3)))/(3.175034)</f>
        <v>-0.55068655957699952</v>
      </c>
      <c r="H18" s="12">
        <f t="shared" si="0"/>
        <v>29.092427986734325</v>
      </c>
      <c r="I18" s="19">
        <f>(B18-(21.520788 + (0.3646224*B4)))/(3.047084)</f>
        <v>-0.29413590173424814</v>
      </c>
      <c r="J18" s="12">
        <f t="shared" si="0"/>
        <v>38.432702901208373</v>
      </c>
      <c r="K18" s="14">
        <f>(B18-27.2)/3.2</f>
        <v>-0.68749999999999978</v>
      </c>
      <c r="L18" s="12">
        <f t="shared" si="0"/>
        <v>24.588385038026161</v>
      </c>
    </row>
    <row r="19" spans="1:12" ht="15.75" thickTop="1"/>
    <row r="20" spans="1:12" ht="19.5" thickBot="1">
      <c r="A20" s="24" t="s">
        <v>28</v>
      </c>
      <c r="B20" s="23" t="s">
        <v>26</v>
      </c>
      <c r="C20" s="25" t="s">
        <v>42</v>
      </c>
      <c r="D20" s="26" t="s">
        <v>41</v>
      </c>
      <c r="E20" s="27" t="s">
        <v>20</v>
      </c>
      <c r="F20" s="28" t="s">
        <v>15</v>
      </c>
      <c r="G20" s="29" t="s">
        <v>16</v>
      </c>
      <c r="H20" s="30" t="s">
        <v>17</v>
      </c>
      <c r="I20" s="31" t="s">
        <v>18</v>
      </c>
      <c r="J20" s="32" t="s">
        <v>19</v>
      </c>
    </row>
    <row r="21" spans="1:12" ht="19.5" thickTop="1">
      <c r="B21" s="23" t="s">
        <v>27</v>
      </c>
      <c r="C21" s="33" t="s">
        <v>43</v>
      </c>
      <c r="D21" s="34" t="s">
        <v>44</v>
      </c>
      <c r="E21" s="35" t="s">
        <v>21</v>
      </c>
      <c r="F21" s="36" t="s">
        <v>22</v>
      </c>
      <c r="G21" s="37" t="s">
        <v>23</v>
      </c>
      <c r="H21" s="38" t="s">
        <v>24</v>
      </c>
      <c r="I21" s="39" t="s">
        <v>25</v>
      </c>
      <c r="J21" s="40" t="s">
        <v>29</v>
      </c>
    </row>
    <row r="22" spans="1:12" ht="15.75">
      <c r="C22" s="15"/>
      <c r="D22" s="15"/>
      <c r="E22" s="15"/>
      <c r="F22" s="15"/>
      <c r="G22" s="15"/>
      <c r="H22" s="15"/>
      <c r="I22" s="15"/>
    </row>
    <row r="23" spans="1:12" ht="18.75">
      <c r="A23" s="22" t="s">
        <v>12</v>
      </c>
    </row>
    <row r="24" spans="1:12" ht="18.75">
      <c r="A24" s="22" t="s">
        <v>45</v>
      </c>
      <c r="B24" s="10"/>
      <c r="C24" s="10"/>
    </row>
    <row r="25" spans="1:12" ht="18.75">
      <c r="A25" s="22" t="s">
        <v>13</v>
      </c>
    </row>
    <row r="26" spans="1:12" ht="18.75">
      <c r="B26" s="22" t="s">
        <v>46</v>
      </c>
    </row>
  </sheetData>
  <sheetProtection password="AF43" sheet="1" objects="1" scenarios="1" selectLockedCells="1"/>
  <mergeCells count="5">
    <mergeCell ref="C3:D3"/>
    <mergeCell ref="K3:L3"/>
    <mergeCell ref="E3:F3"/>
    <mergeCell ref="G3:H3"/>
    <mergeCell ref="I3:J3"/>
  </mergeCells>
  <phoneticPr fontId="4" type="noConversion"/>
  <conditionalFormatting sqref="D5:D7 D9:D18 F5:F7 F9:F18 H5:H7 H9:H18 J5:J7 J9:J18 L5:L7 L9:L18">
    <cfRule type="cellIs" dxfId="20" priority="523" operator="between">
      <formula>25</formula>
      <formula>74.99</formula>
    </cfRule>
    <cfRule type="cellIs" dxfId="19" priority="661" operator="lessThan">
      <formula>1</formula>
    </cfRule>
  </conditionalFormatting>
  <conditionalFormatting sqref="D5:D7 D9:D18 F5:F7 F9:F18 H5:H7 H9:H18 J5:J7 J9:J18 L5:L7 L9:L18">
    <cfRule type="cellIs" dxfId="18" priority="655" operator="between">
      <formula>2</formula>
      <formula>8.99</formula>
    </cfRule>
  </conditionalFormatting>
  <conditionalFormatting sqref="D5:D7 D9:D18 F5:F7 F9:F18 H5:H7 H9:H18 J5:J7 J9:J18 L5:L7 L9:L18">
    <cfRule type="cellIs" dxfId="17" priority="633" operator="between">
      <formula>1</formula>
      <formula>1.99</formula>
    </cfRule>
    <cfRule type="cellIs" dxfId="16" priority="635" operator="between">
      <formula>8.99</formula>
      <formula>24.99</formula>
    </cfRule>
    <cfRule type="cellIs" dxfId="15" priority="637" operator="between">
      <formula>75</formula>
      <formula>90.99</formula>
    </cfRule>
    <cfRule type="cellIs" dxfId="14" priority="638" operator="between">
      <formula>91</formula>
      <formula>98</formula>
    </cfRule>
    <cfRule type="cellIs" dxfId="13" priority="639" operator="greaterThan">
      <formula>97.99</formula>
    </cfRule>
  </conditionalFormatting>
  <conditionalFormatting sqref="D7">
    <cfRule type="cellIs" dxfId="12" priority="13" operator="between">
      <formula>2</formula>
      <formula>8.99</formula>
    </cfRule>
  </conditionalFormatting>
  <conditionalFormatting sqref="D5">
    <cfRule type="cellIs" dxfId="11" priority="12" operator="between">
      <formula>2</formula>
      <formula>8.99</formula>
    </cfRule>
  </conditionalFormatting>
  <conditionalFormatting sqref="D5">
    <cfRule type="cellIs" dxfId="10" priority="7" operator="between">
      <formula>1</formula>
      <formula>1.99</formula>
    </cfRule>
    <cfRule type="cellIs" dxfId="9" priority="8" operator="between">
      <formula>9</formula>
      <formula>24.99</formula>
    </cfRule>
    <cfRule type="cellIs" dxfId="8" priority="9" operator="between">
      <formula>75</formula>
      <formula>90.99</formula>
    </cfRule>
    <cfRule type="cellIs" dxfId="7" priority="10" operator="between">
      <formula>91</formula>
      <formula>98</formula>
    </cfRule>
    <cfRule type="cellIs" dxfId="6" priority="11" operator="greaterThan">
      <formula>97.99</formula>
    </cfRule>
  </conditionalFormatting>
  <conditionalFormatting sqref="D6">
    <cfRule type="cellIs" dxfId="5" priority="2" operator="between">
      <formula>1</formula>
      <formula>1.99</formula>
    </cfRule>
    <cfRule type="cellIs" dxfId="4" priority="3" operator="between">
      <formula>9</formula>
      <formula>24.99</formula>
    </cfRule>
    <cfRule type="cellIs" dxfId="3" priority="4" operator="between">
      <formula>75</formula>
      <formula>90.99</formula>
    </cfRule>
    <cfRule type="cellIs" dxfId="2" priority="5" operator="between">
      <formula>91</formula>
      <formula>98</formula>
    </cfRule>
    <cfRule type="cellIs" dxfId="1" priority="6" operator="greaterThan">
      <formula>97.99</formula>
    </cfRule>
  </conditionalFormatting>
  <conditionalFormatting sqref="D6">
    <cfRule type="cellIs" dxfId="0" priority="1" operator="between">
      <formula>2</formula>
      <formula>8.99</formula>
    </cfRule>
  </conditionalFormatting>
  <pageMargins left="0.7" right="0.7" top="0.75" bottom="0.75" header="0.3" footer="0.3"/>
  <pageSetup orientation="portrait" r:id="rId1"/>
  <ignoredErrors>
    <ignoredError sqref="C5 F8 H8 J8 C10:D10 C6:C7 C8:C9 C11:C14" unlockedFormula="1"/>
    <ignoredError sqref="E17 E18 E5:E14 G18 G17 G5:G14 I5 I7:I8" formula="1" unlockedFormula="1"/>
    <ignoredError sqref="I9:I14 I17:I18 E15:E16 G15:G16 I15:I16 K5:K7 K16:K17 K9:K15 K18 I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Steve</cp:lastModifiedBy>
  <dcterms:created xsi:type="dcterms:W3CDTF">2010-06-07T19:46:32Z</dcterms:created>
  <dcterms:modified xsi:type="dcterms:W3CDTF">2011-11-14T15:05:04Z</dcterms:modified>
</cp:coreProperties>
</file>